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evolucao\rest_bakup\CDB\"/>
    </mc:Choice>
  </mc:AlternateContent>
  <xr:revisionPtr revIDLastSave="0" documentId="13_ncr:1_{15CA420A-1927-41CC-AD5C-BE9834D4199E}" xr6:coauthVersionLast="47" xr6:coauthVersionMax="47" xr10:uidLastSave="{00000000-0000-0000-0000-000000000000}"/>
  <bookViews>
    <workbookView xWindow="-120" yWindow="-120" windowWidth="29040" windowHeight="15840" xr2:uid="{6DD76341-E323-49C7-8B37-C95491F24FA9}"/>
  </bookViews>
  <sheets>
    <sheet name="LUCRO REAL E PRESUMIDO" sheetId="1" r:id="rId1"/>
    <sheet name="LUCRO SIMPLES NACIO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C15" i="1"/>
  <c r="F24" i="2"/>
  <c r="D14" i="1"/>
  <c r="F33" i="1"/>
  <c r="F23" i="1"/>
  <c r="F22" i="1"/>
  <c r="G21" i="2"/>
  <c r="G19" i="2"/>
  <c r="G18" i="2"/>
  <c r="J36" i="2"/>
  <c r="J37" i="2"/>
  <c r="J38" i="2"/>
  <c r="J39" i="2"/>
  <c r="J40" i="2"/>
  <c r="J35" i="2"/>
  <c r="D15" i="1" l="1"/>
  <c r="C29" i="2"/>
  <c r="F27" i="2"/>
  <c r="F26" i="2"/>
  <c r="D19" i="2"/>
  <c r="F12" i="2"/>
  <c r="G12" i="2" s="1"/>
  <c r="D12" i="2"/>
  <c r="G11" i="2"/>
  <c r="D21" i="2" l="1"/>
  <c r="D30" i="2" s="1"/>
  <c r="D18" i="2"/>
  <c r="F29" i="2"/>
  <c r="G13" i="2"/>
  <c r="D27" i="2" l="1"/>
  <c r="D24" i="2"/>
  <c r="D26" i="2"/>
  <c r="G14" i="2"/>
  <c r="G15" i="2" l="1"/>
  <c r="G16" i="2" s="1"/>
  <c r="G30" i="2"/>
  <c r="H21" i="2"/>
  <c r="H30" i="2" l="1"/>
  <c r="G26" i="2"/>
  <c r="G24" i="2"/>
  <c r="G27" i="2"/>
  <c r="D23" i="1" l="1"/>
  <c r="F34" i="1"/>
  <c r="F28" i="1"/>
  <c r="F29" i="1"/>
  <c r="F30" i="1"/>
  <c r="F31" i="1"/>
  <c r="C36" i="1"/>
  <c r="F12" i="1"/>
  <c r="G11" i="1"/>
  <c r="G18" i="1" s="1"/>
  <c r="D22" i="1"/>
  <c r="D19" i="1"/>
  <c r="G23" i="1" l="1"/>
  <c r="G22" i="1"/>
  <c r="F36" i="1"/>
  <c r="G12" i="1"/>
  <c r="G13" i="1" l="1"/>
  <c r="G14" i="1" l="1"/>
  <c r="G15" i="1" s="1"/>
  <c r="G16" i="1" l="1"/>
  <c r="D12" i="1"/>
  <c r="D18" i="1" l="1"/>
  <c r="D24" i="1" s="1"/>
  <c r="D37" i="1" s="1"/>
  <c r="D16" i="1"/>
  <c r="D17" i="1" s="1"/>
  <c r="G19" i="1"/>
  <c r="G24" i="1" l="1"/>
  <c r="G37" i="1" s="1"/>
  <c r="G31" i="1" s="1"/>
  <c r="H19" i="1"/>
  <c r="G27" i="1"/>
  <c r="G29" i="1"/>
  <c r="G30" i="1"/>
  <c r="G34" i="1"/>
  <c r="D31" i="1"/>
  <c r="D33" i="1"/>
  <c r="D29" i="1"/>
  <c r="D28" i="1"/>
  <c r="D30" i="1"/>
  <c r="D34" i="1"/>
  <c r="D27" i="1"/>
  <c r="H37" i="1" l="1"/>
  <c r="G28" i="1"/>
  <c r="G33" i="1"/>
  <c r="H24" i="1"/>
</calcChain>
</file>

<file path=xl/sharedStrings.xml><?xml version="1.0" encoding="utf-8"?>
<sst xmlns="http://schemas.openxmlformats.org/spreadsheetml/2006/main" count="108" uniqueCount="52">
  <si>
    <t>VALOR PRODUTO</t>
  </si>
  <si>
    <t>%</t>
  </si>
  <si>
    <t>R$</t>
  </si>
  <si>
    <t>IPI</t>
  </si>
  <si>
    <t>VLR CUSTO</t>
  </si>
  <si>
    <t>PIS</t>
  </si>
  <si>
    <t>COFINS</t>
  </si>
  <si>
    <t>CUSTO DA COMPRA</t>
  </si>
  <si>
    <t>VENDA</t>
  </si>
  <si>
    <t>ICMS</t>
  </si>
  <si>
    <t>CONT SOCIAL</t>
  </si>
  <si>
    <t>IRPJ</t>
  </si>
  <si>
    <t>DESP. OPERACIONAL</t>
  </si>
  <si>
    <t>MARGEM DE LUCRO</t>
  </si>
  <si>
    <t>PREÇO DE VENDA</t>
  </si>
  <si>
    <t>ÍNDICE</t>
  </si>
  <si>
    <t xml:space="preserve">ICMS ORIGEM </t>
  </si>
  <si>
    <t xml:space="preserve">MVA(MARGEM DE VALOR AGREGADO </t>
  </si>
  <si>
    <t>LUCRO REAL PIS 1,65% COFINS 7,6%</t>
  </si>
  <si>
    <t>BASE CALCULO ST</t>
  </si>
  <si>
    <t>BASE ICMS ST</t>
  </si>
  <si>
    <t>VALOR ICMS ST</t>
  </si>
  <si>
    <t>PIS*</t>
  </si>
  <si>
    <t>COFINS*</t>
  </si>
  <si>
    <t>SIMPLES NACIONAL</t>
  </si>
  <si>
    <t xml:space="preserve"> </t>
  </si>
  <si>
    <t>VARIAÇÃO DE VALORES ENTRE OS REGIMES  %</t>
  </si>
  <si>
    <t>*CASO A EMPRESA ESTEJA ENQUADRADA NO LCURO REAL AS ALIQUOTAS DO PIS E COFINS SERÃO</t>
  </si>
  <si>
    <t>PIS= 1,65% COFINS= 7,60%</t>
  </si>
  <si>
    <t>*CASO A EMPRESA ESTEJA ENQUADRADA NO LCURO PRESUMIDO AS ALIQUOTAS DO PIS E COFINS SERÃO</t>
  </si>
  <si>
    <t>PIS= 0,65% COFINS= 3,00%</t>
  </si>
  <si>
    <t>Faixa</t>
  </si>
  <si>
    <t>Receita Bruta em 12 Meses (em R$)</t>
  </si>
  <si>
    <t>Alíquota Anexo I</t>
  </si>
  <si>
    <t>1ª Faixa</t>
  </si>
  <si>
    <t>2ª Faixa</t>
  </si>
  <si>
    <t>3ª Faixa</t>
  </si>
  <si>
    <t>4ª Faixa</t>
  </si>
  <si>
    <t>5ª Faixa</t>
  </si>
  <si>
    <t>6ª Faixa</t>
  </si>
  <si>
    <t>COMERCIO NORMAL</t>
  </si>
  <si>
    <t>COMERCIO COM ST</t>
  </si>
  <si>
    <t>REPRESENTAÇÃO DO ICMS NO SIMPLES NACIONAL</t>
  </si>
  <si>
    <t>COMPRA DE MERCADORIA NO REGIME SUBSTITUICAO TRIBUTARIA DO DECRETO 2.401/2022 A PARTIR DE 01/07/2022</t>
  </si>
  <si>
    <t>COMPARATRIVO NA MUDANÇA TRIBUTARIA NAS COMPRAS DE MERCADORIA QUE NÃO SOFRIA ST E PASSARA A TER ST EM 01/07/2022 DECRETO 2.401/2022</t>
  </si>
  <si>
    <t xml:space="preserve">COMPRA DE MERCADORIA NO REGIME NORMAL ANTES DO DECRETO 2.401/2022 </t>
  </si>
  <si>
    <t>VALOR DO ICMS ST</t>
  </si>
  <si>
    <t>VALOR ICMS COM MVA</t>
  </si>
  <si>
    <t>ICMS ORIGEM (CREDITO)</t>
  </si>
  <si>
    <t>ICMS DIFAL 1173</t>
  </si>
  <si>
    <t xml:space="preserve">BASE DO DIFAL </t>
  </si>
  <si>
    <t>CREDITO DO 1173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</si>
</sst>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868"/>
      <name val="Lato"/>
      <family val="2"/>
    </font>
    <font>
      <sz val="12"/>
      <color rgb="FF30455C"/>
      <name val="Lato"/>
      <family val="2"/>
    </font>
    <font>
      <b/>
      <sz val="8"/>
      <color rgb="FF002868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8" tint="0.59996337778862885"/>
        <bgColor theme="9" tint="0.79998168889431442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theme="9" tint="0.799981688894314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6337778862885"/>
        <bgColor theme="9" tint="0.79998168889431442"/>
      </patternFill>
    </fill>
    <fill>
      <patternFill patternType="solid">
        <fgColor rgb="FFD9E8F8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9755851924192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theme="9" tint="0.3999755851924192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theme="9" tint="0.3999755851924192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D9E8F8"/>
      </bottom>
      <diagonal/>
    </border>
    <border>
      <left/>
      <right/>
      <top style="medium">
        <color rgb="FFD9E8F8"/>
      </top>
      <bottom style="medium">
        <color rgb="FFD9E8F8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164" fontId="0" fillId="0" borderId="0" xfId="1" applyFont="1"/>
    <xf numFmtId="10" fontId="0" fillId="0" borderId="0" xfId="2" applyNumberFormat="1" applyFont="1"/>
    <xf numFmtId="0" fontId="3" fillId="0" borderId="0" xfId="0" applyFont="1"/>
    <xf numFmtId="44" fontId="0" fillId="0" borderId="0" xfId="0" applyNumberFormat="1"/>
    <xf numFmtId="0" fontId="0" fillId="0" borderId="0" xfId="0" applyAlignment="1"/>
    <xf numFmtId="0" fontId="3" fillId="3" borderId="6" xfId="0" applyFont="1" applyFill="1" applyBorder="1" applyAlignment="1">
      <alignment wrapText="1"/>
    </xf>
    <xf numFmtId="10" fontId="0" fillId="3" borderId="7" xfId="2" applyNumberFormat="1" applyFont="1" applyFill="1" applyBorder="1" applyAlignment="1">
      <alignment wrapText="1"/>
    </xf>
    <xf numFmtId="0" fontId="0" fillId="4" borderId="6" xfId="0" applyFont="1" applyFill="1" applyBorder="1" applyAlignment="1">
      <alignment wrapText="1"/>
    </xf>
    <xf numFmtId="10" fontId="0" fillId="4" borderId="7" xfId="2" applyNumberFormat="1" applyFont="1" applyFill="1" applyBorder="1" applyAlignment="1" applyProtection="1">
      <alignment wrapText="1"/>
      <protection locked="0"/>
    </xf>
    <xf numFmtId="10" fontId="3" fillId="3" borderId="7" xfId="2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10" fontId="3" fillId="4" borderId="7" xfId="2" applyNumberFormat="1" applyFont="1" applyFill="1" applyBorder="1" applyAlignment="1">
      <alignment wrapText="1"/>
    </xf>
    <xf numFmtId="0" fontId="0" fillId="3" borderId="6" xfId="0" applyFont="1" applyFill="1" applyBorder="1" applyAlignment="1">
      <alignment wrapText="1"/>
    </xf>
    <xf numFmtId="10" fontId="0" fillId="4" borderId="7" xfId="2" applyNumberFormat="1" applyFont="1" applyFill="1" applyBorder="1" applyAlignment="1">
      <alignment wrapText="1"/>
    </xf>
    <xf numFmtId="164" fontId="0" fillId="4" borderId="8" xfId="1" applyNumberFormat="1" applyFont="1" applyFill="1" applyBorder="1" applyAlignment="1">
      <alignment wrapText="1"/>
    </xf>
    <xf numFmtId="164" fontId="3" fillId="3" borderId="8" xfId="1" applyNumberFormat="1" applyFont="1" applyFill="1" applyBorder="1" applyAlignment="1">
      <alignment wrapText="1"/>
    </xf>
    <xf numFmtId="164" fontId="3" fillId="4" borderId="8" xfId="1" applyNumberFormat="1" applyFont="1" applyFill="1" applyBorder="1" applyAlignment="1">
      <alignment wrapText="1"/>
    </xf>
    <xf numFmtId="164" fontId="0" fillId="3" borderId="8" xfId="1" applyNumberFormat="1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10" fontId="3" fillId="4" borderId="12" xfId="2" applyNumberFormat="1" applyFont="1" applyFill="1" applyBorder="1" applyAlignment="1">
      <alignment wrapText="1"/>
    </xf>
    <xf numFmtId="164" fontId="3" fillId="4" borderId="13" xfId="1" applyNumberFormat="1" applyFont="1" applyFill="1" applyBorder="1" applyAlignment="1">
      <alignment wrapText="1"/>
    </xf>
    <xf numFmtId="164" fontId="3" fillId="6" borderId="14" xfId="1" applyNumberFormat="1" applyFont="1" applyFill="1" applyBorder="1"/>
    <xf numFmtId="10" fontId="3" fillId="6" borderId="12" xfId="2" applyNumberFormat="1" applyFont="1" applyFill="1" applyBorder="1"/>
    <xf numFmtId="164" fontId="3" fillId="6" borderId="15" xfId="1" applyNumberFormat="1" applyFont="1" applyFill="1" applyBorder="1"/>
    <xf numFmtId="0" fontId="3" fillId="5" borderId="9" xfId="0" applyFont="1" applyFill="1" applyBorder="1" applyAlignment="1">
      <alignment wrapText="1"/>
    </xf>
    <xf numFmtId="10" fontId="0" fillId="5" borderId="7" xfId="2" applyNumberFormat="1" applyFont="1" applyFill="1" applyBorder="1"/>
    <xf numFmtId="164" fontId="0" fillId="5" borderId="10" xfId="0" applyNumberFormat="1" applyFont="1" applyFill="1" applyBorder="1" applyProtection="1"/>
    <xf numFmtId="0" fontId="0" fillId="6" borderId="9" xfId="0" applyFont="1" applyFill="1" applyBorder="1" applyAlignment="1">
      <alignment wrapText="1"/>
    </xf>
    <xf numFmtId="10" fontId="0" fillId="6" borderId="7" xfId="2" applyNumberFormat="1" applyFont="1" applyFill="1" applyBorder="1"/>
    <xf numFmtId="164" fontId="0" fillId="6" borderId="10" xfId="1" applyNumberFormat="1" applyFont="1" applyFill="1" applyBorder="1"/>
    <xf numFmtId="0" fontId="3" fillId="6" borderId="9" xfId="0" applyFont="1" applyFill="1" applyBorder="1" applyAlignment="1">
      <alignment wrapText="1"/>
    </xf>
    <xf numFmtId="4" fontId="3" fillId="6" borderId="7" xfId="2" applyNumberFormat="1" applyFont="1" applyFill="1" applyBorder="1"/>
    <xf numFmtId="164" fontId="3" fillId="6" borderId="10" xfId="1" applyNumberFormat="1" applyFont="1" applyFill="1" applyBorder="1"/>
    <xf numFmtId="0" fontId="0" fillId="5" borderId="9" xfId="0" applyFont="1" applyFill="1" applyBorder="1" applyAlignment="1">
      <alignment wrapText="1"/>
    </xf>
    <xf numFmtId="164" fontId="0" fillId="5" borderId="10" xfId="1" applyNumberFormat="1" applyFont="1" applyFill="1" applyBorder="1"/>
    <xf numFmtId="0" fontId="0" fillId="6" borderId="10" xfId="0" applyFont="1" applyFill="1" applyBorder="1"/>
    <xf numFmtId="0" fontId="0" fillId="5" borderId="10" xfId="0" applyFont="1" applyFill="1" applyBorder="1"/>
    <xf numFmtId="10" fontId="0" fillId="6" borderId="7" xfId="2" applyNumberFormat="1" applyFont="1" applyFill="1" applyBorder="1" applyProtection="1">
      <protection locked="0"/>
    </xf>
    <xf numFmtId="10" fontId="0" fillId="5" borderId="7" xfId="2" applyNumberFormat="1" applyFont="1" applyFill="1" applyBorder="1" applyProtection="1"/>
    <xf numFmtId="10" fontId="0" fillId="6" borderId="7" xfId="2" applyNumberFormat="1" applyFont="1" applyFill="1" applyBorder="1" applyProtection="1"/>
    <xf numFmtId="10" fontId="3" fillId="5" borderId="7" xfId="2" applyNumberFormat="1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/>
    <xf numFmtId="0" fontId="0" fillId="8" borderId="5" xfId="0" applyFont="1" applyFill="1" applyBorder="1" applyAlignment="1"/>
    <xf numFmtId="0" fontId="0" fillId="7" borderId="5" xfId="0" applyFont="1" applyFill="1" applyBorder="1" applyAlignment="1"/>
    <xf numFmtId="0" fontId="3" fillId="8" borderId="5" xfId="0" applyFont="1" applyFill="1" applyBorder="1" applyAlignment="1"/>
    <xf numFmtId="0" fontId="3" fillId="7" borderId="5" xfId="0" applyFont="1" applyFill="1" applyBorder="1" applyAlignment="1"/>
    <xf numFmtId="0" fontId="0" fillId="7" borderId="1" xfId="0" applyFill="1" applyBorder="1" applyAlignment="1"/>
    <xf numFmtId="0" fontId="0" fillId="7" borderId="0" xfId="0" applyFont="1" applyFill="1" applyBorder="1" applyAlignment="1"/>
    <xf numFmtId="0" fontId="0" fillId="3" borderId="18" xfId="0" applyFont="1" applyFill="1" applyBorder="1" applyAlignment="1">
      <alignment wrapText="1"/>
    </xf>
    <xf numFmtId="10" fontId="0" fillId="3" borderId="19" xfId="2" applyNumberFormat="1" applyFont="1" applyFill="1" applyBorder="1" applyAlignment="1">
      <alignment wrapText="1"/>
    </xf>
    <xf numFmtId="164" fontId="0" fillId="3" borderId="20" xfId="1" applyNumberFormat="1" applyFont="1" applyFill="1" applyBorder="1" applyAlignment="1">
      <alignment wrapText="1"/>
    </xf>
    <xf numFmtId="0" fontId="0" fillId="5" borderId="21" xfId="0" applyFont="1" applyFill="1" applyBorder="1" applyAlignment="1">
      <alignment wrapText="1"/>
    </xf>
    <xf numFmtId="10" fontId="0" fillId="5" borderId="19" xfId="2" applyNumberFormat="1" applyFont="1" applyFill="1" applyBorder="1"/>
    <xf numFmtId="0" fontId="0" fillId="5" borderId="22" xfId="0" applyFont="1" applyFill="1" applyBorder="1"/>
    <xf numFmtId="0" fontId="3" fillId="4" borderId="23" xfId="0" applyFont="1" applyFill="1" applyBorder="1" applyAlignment="1">
      <alignment wrapText="1"/>
    </xf>
    <xf numFmtId="10" fontId="3" fillId="4" borderId="24" xfId="2" applyNumberFormat="1" applyFont="1" applyFill="1" applyBorder="1" applyAlignment="1">
      <alignment wrapText="1"/>
    </xf>
    <xf numFmtId="164" fontId="3" fillId="4" borderId="25" xfId="1" applyNumberFormat="1" applyFont="1" applyFill="1" applyBorder="1" applyAlignment="1">
      <alignment wrapText="1"/>
    </xf>
    <xf numFmtId="164" fontId="3" fillId="6" borderId="26" xfId="1" applyNumberFormat="1" applyFont="1" applyFill="1" applyBorder="1"/>
    <xf numFmtId="10" fontId="3" fillId="6" borderId="24" xfId="2" applyNumberFormat="1" applyFont="1" applyFill="1" applyBorder="1"/>
    <xf numFmtId="164" fontId="3" fillId="6" borderId="27" xfId="0" applyNumberFormat="1" applyFont="1" applyFill="1" applyBorder="1"/>
    <xf numFmtId="10" fontId="3" fillId="7" borderId="3" xfId="2" applyNumberFormat="1" applyFont="1" applyFill="1" applyBorder="1" applyAlignment="1"/>
    <xf numFmtId="0" fontId="0" fillId="4" borderId="18" xfId="0" applyFont="1" applyFill="1" applyBorder="1" applyAlignment="1">
      <alignment wrapText="1"/>
    </xf>
    <xf numFmtId="164" fontId="0" fillId="4" borderId="20" xfId="1" applyNumberFormat="1" applyFont="1" applyFill="1" applyBorder="1" applyAlignment="1">
      <alignment wrapText="1"/>
    </xf>
    <xf numFmtId="0" fontId="0" fillId="6" borderId="21" xfId="0" applyFont="1" applyFill="1" applyBorder="1" applyAlignment="1">
      <alignment wrapText="1"/>
    </xf>
    <xf numFmtId="10" fontId="0" fillId="6" borderId="19" xfId="2" applyNumberFormat="1" applyFont="1" applyFill="1" applyBorder="1"/>
    <xf numFmtId="164" fontId="0" fillId="6" borderId="22" xfId="1" applyNumberFormat="1" applyFont="1" applyFill="1" applyBorder="1"/>
    <xf numFmtId="0" fontId="0" fillId="4" borderId="11" xfId="0" applyFont="1" applyFill="1" applyBorder="1" applyAlignment="1">
      <alignment wrapText="1"/>
    </xf>
    <xf numFmtId="10" fontId="0" fillId="4" borderId="12" xfId="2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164" fontId="0" fillId="6" borderId="14" xfId="1" applyNumberFormat="1" applyFont="1" applyFill="1" applyBorder="1"/>
    <xf numFmtId="10" fontId="0" fillId="6" borderId="12" xfId="2" applyNumberFormat="1" applyFont="1" applyFill="1" applyBorder="1"/>
    <xf numFmtId="0" fontId="0" fillId="6" borderId="15" xfId="0" applyFont="1" applyFill="1" applyBorder="1"/>
    <xf numFmtId="0" fontId="3" fillId="3" borderId="23" xfId="0" applyFont="1" applyFill="1" applyBorder="1" applyAlignment="1">
      <alignment wrapText="1"/>
    </xf>
    <xf numFmtId="10" fontId="3" fillId="3" borderId="24" xfId="2" applyNumberFormat="1" applyFont="1" applyFill="1" applyBorder="1" applyAlignment="1">
      <alignment wrapText="1"/>
    </xf>
    <xf numFmtId="164" fontId="3" fillId="3" borderId="25" xfId="1" applyNumberFormat="1" applyFont="1" applyFill="1" applyBorder="1" applyAlignment="1">
      <alignment wrapText="1"/>
    </xf>
    <xf numFmtId="164" fontId="3" fillId="5" borderId="26" xfId="1" applyNumberFormat="1" applyFont="1" applyFill="1" applyBorder="1"/>
    <xf numFmtId="10" fontId="3" fillId="5" borderId="24" xfId="2" applyNumberFormat="1" applyFont="1" applyFill="1" applyBorder="1"/>
    <xf numFmtId="164" fontId="3" fillId="5" borderId="27" xfId="1" applyNumberFormat="1" applyFont="1" applyFill="1" applyBorder="1"/>
    <xf numFmtId="10" fontId="3" fillId="8" borderId="3" xfId="2" applyNumberFormat="1" applyFont="1" applyFill="1" applyBorder="1" applyAlignment="1"/>
    <xf numFmtId="164" fontId="3" fillId="5" borderId="10" xfId="1" applyNumberFormat="1" applyFont="1" applyFill="1" applyBorder="1" applyAlignment="1">
      <alignment vertical="center"/>
    </xf>
    <xf numFmtId="164" fontId="3" fillId="6" borderId="10" xfId="1" applyNumberFormat="1" applyFont="1" applyFill="1" applyBorder="1" applyAlignment="1">
      <alignment vertical="center"/>
    </xf>
    <xf numFmtId="164" fontId="0" fillId="0" borderId="8" xfId="1" applyNumberFormat="1" applyFont="1" applyFill="1" applyBorder="1" applyAlignment="1" applyProtection="1">
      <alignment wrapText="1"/>
      <protection locked="0"/>
    </xf>
    <xf numFmtId="10" fontId="0" fillId="0" borderId="7" xfId="2" applyNumberFormat="1" applyFont="1" applyFill="1" applyBorder="1" applyAlignment="1" applyProtection="1">
      <alignment wrapText="1"/>
      <protection locked="0"/>
    </xf>
    <xf numFmtId="10" fontId="0" fillId="0" borderId="19" xfId="2" applyNumberFormat="1" applyFont="1" applyFill="1" applyBorder="1" applyAlignment="1" applyProtection="1">
      <alignment wrapText="1"/>
      <protection locked="0"/>
    </xf>
    <xf numFmtId="0" fontId="3" fillId="7" borderId="3" xfId="0" applyFont="1" applyFill="1" applyBorder="1" applyAlignment="1">
      <alignment horizontal="center" vertical="center" wrapText="1"/>
    </xf>
    <xf numFmtId="10" fontId="3" fillId="0" borderId="7" xfId="2" applyNumberFormat="1" applyFont="1" applyFill="1" applyBorder="1" applyAlignment="1" applyProtection="1">
      <alignment horizontal="right" vertical="center"/>
      <protection locked="0"/>
    </xf>
    <xf numFmtId="0" fontId="4" fillId="9" borderId="31" xfId="0" applyFont="1" applyFill="1" applyBorder="1" applyAlignment="1">
      <alignment horizontal="left" vertical="top" wrapText="1" indent="1"/>
    </xf>
    <xf numFmtId="0" fontId="5" fillId="10" borderId="31" xfId="0" applyFont="1" applyFill="1" applyBorder="1" applyAlignment="1">
      <alignment horizontal="left" vertical="center" wrapText="1" indent="1"/>
    </xf>
    <xf numFmtId="10" fontId="5" fillId="10" borderId="31" xfId="0" applyNumberFormat="1" applyFont="1" applyFill="1" applyBorder="1" applyAlignment="1">
      <alignment vertical="center" wrapText="1"/>
    </xf>
    <xf numFmtId="10" fontId="0" fillId="0" borderId="0" xfId="0" applyNumberFormat="1"/>
    <xf numFmtId="10" fontId="5" fillId="10" borderId="32" xfId="0" applyNumberFormat="1" applyFont="1" applyFill="1" applyBorder="1" applyAlignment="1">
      <alignment horizontal="right" vertical="center" wrapText="1" indent="1"/>
    </xf>
    <xf numFmtId="10" fontId="5" fillId="10" borderId="31" xfId="0" applyNumberFormat="1" applyFont="1" applyFill="1" applyBorder="1" applyAlignment="1">
      <alignment horizontal="right" vertical="center" wrapText="1" indent="1"/>
    </xf>
    <xf numFmtId="0" fontId="6" fillId="9" borderId="31" xfId="0" applyFont="1" applyFill="1" applyBorder="1" applyAlignment="1">
      <alignment horizontal="left" vertical="top" wrapText="1" indent="1"/>
    </xf>
    <xf numFmtId="10" fontId="3" fillId="6" borderId="7" xfId="2" applyNumberFormat="1" applyFont="1" applyFill="1" applyBorder="1"/>
    <xf numFmtId="164" fontId="3" fillId="6" borderId="10" xfId="1" applyNumberFormat="1" applyFont="1" applyFill="1" applyBorder="1" applyAlignment="1"/>
    <xf numFmtId="0" fontId="3" fillId="6" borderId="21" xfId="0" applyFont="1" applyFill="1" applyBorder="1" applyAlignment="1">
      <alignment wrapText="1"/>
    </xf>
    <xf numFmtId="10" fontId="3" fillId="6" borderId="19" xfId="2" applyNumberFormat="1" applyFont="1" applyFill="1" applyBorder="1"/>
    <xf numFmtId="164" fontId="3" fillId="6" borderId="22" xfId="1" applyNumberFormat="1" applyFont="1" applyFill="1" applyBorder="1" applyAlignment="1"/>
    <xf numFmtId="0" fontId="0" fillId="6" borderId="14" xfId="0" applyFont="1" applyFill="1" applyBorder="1" applyAlignment="1">
      <alignment wrapText="1"/>
    </xf>
    <xf numFmtId="0" fontId="3" fillId="6" borderId="33" xfId="0" applyFont="1" applyFill="1" applyBorder="1" applyAlignment="1">
      <alignment wrapText="1"/>
    </xf>
    <xf numFmtId="10" fontId="0" fillId="6" borderId="34" xfId="2" applyNumberFormat="1" applyFont="1" applyFill="1" applyBorder="1"/>
    <xf numFmtId="164" fontId="3" fillId="6" borderId="35" xfId="1" applyNumberFormat="1" applyFont="1" applyFill="1" applyBorder="1" applyAlignment="1"/>
    <xf numFmtId="10" fontId="1" fillId="3" borderId="7" xfId="2" applyNumberFormat="1" applyFont="1" applyFill="1" applyBorder="1" applyAlignment="1">
      <alignment wrapText="1"/>
    </xf>
    <xf numFmtId="10" fontId="0" fillId="7" borderId="5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3" fillId="4" borderId="28" xfId="0" applyFont="1" applyFill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6" borderId="28" xfId="0" applyFont="1" applyFill="1" applyBorder="1" applyAlignment="1">
      <alignment wrapText="1"/>
    </xf>
    <xf numFmtId="0" fontId="3" fillId="6" borderId="29" xfId="0" applyFont="1" applyFill="1" applyBorder="1" applyAlignment="1">
      <alignment wrapText="1"/>
    </xf>
    <xf numFmtId="0" fontId="3" fillId="6" borderId="30" xfId="0" applyFont="1" applyFill="1" applyBorder="1" applyAlignment="1">
      <alignment wrapText="1"/>
    </xf>
    <xf numFmtId="4" fontId="4" fillId="9" borderId="0" xfId="0" applyNumberFormat="1" applyFont="1" applyFill="1" applyBorder="1" applyAlignment="1">
      <alignment horizontal="center" vertical="top" wrapText="1"/>
    </xf>
    <xf numFmtId="4" fontId="5" fillId="1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51289</xdr:colOff>
      <xdr:row>0</xdr:row>
      <xdr:rowOff>87923</xdr:rowOff>
    </xdr:from>
    <xdr:to>
      <xdr:col>4</xdr:col>
      <xdr:colOff>805962</xdr:colOff>
      <xdr:row>5</xdr:row>
      <xdr:rowOff>104992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BF25FC6-E79E-56D5-6A8D-344444BD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731" y="87923"/>
          <a:ext cx="754673" cy="969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51289</xdr:colOff>
      <xdr:row>0</xdr:row>
      <xdr:rowOff>87923</xdr:rowOff>
    </xdr:from>
    <xdr:to>
      <xdr:col>4</xdr:col>
      <xdr:colOff>805962</xdr:colOff>
      <xdr:row>5</xdr:row>
      <xdr:rowOff>104992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800643-AACB-4417-B620-0BA41B08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464" y="87923"/>
          <a:ext cx="754673" cy="969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FA9F-4A5D-4EAD-8528-CECC62BD5860}">
  <dimension ref="B7:J42"/>
  <sheetViews>
    <sheetView showGridLines="0" tabSelected="1" zoomScale="160" zoomScaleNormal="160" workbookViewId="0">
      <pane ySplit="8" topLeftCell="A9" activePane="bottomLeft" state="frozen"/>
      <selection pane="bottomLeft" activeCell="H24" sqref="H24"/>
    </sheetView>
  </sheetViews>
  <sheetFormatPr defaultRowHeight="15" x14ac:dyDescent="0.25"/>
  <cols>
    <col min="1" max="1" width="6.28515625" customWidth="1"/>
    <col min="2" max="2" width="20.7109375" customWidth="1"/>
    <col min="3" max="3" width="9.140625" style="2"/>
    <col min="4" max="4" width="10.5703125" style="1" bestFit="1" customWidth="1"/>
    <col min="5" max="5" width="23.42578125" style="1" customWidth="1"/>
    <col min="6" max="6" width="9.7109375" style="2" bestFit="1" customWidth="1"/>
    <col min="7" max="7" width="10.7109375" bestFit="1" customWidth="1"/>
    <col min="8" max="8" width="16.42578125" style="5" customWidth="1"/>
    <col min="10" max="10" width="11" bestFit="1" customWidth="1"/>
  </cols>
  <sheetData>
    <row r="7" spans="2:10" x14ac:dyDescent="0.25">
      <c r="B7" s="110" t="s">
        <v>44</v>
      </c>
      <c r="C7" s="111"/>
      <c r="D7" s="111"/>
      <c r="E7" s="111"/>
      <c r="F7" s="111"/>
      <c r="G7" s="111"/>
      <c r="H7" s="111"/>
    </row>
    <row r="8" spans="2:10" ht="15.75" thickBot="1" x14ac:dyDescent="0.3">
      <c r="B8" s="112"/>
      <c r="C8" s="112"/>
      <c r="D8" s="112"/>
      <c r="E8" s="112"/>
      <c r="F8" s="112"/>
      <c r="G8" s="112"/>
      <c r="H8" s="112"/>
    </row>
    <row r="9" spans="2:10" ht="68.25" customHeight="1" thickTop="1" thickBot="1" x14ac:dyDescent="0.3">
      <c r="B9" s="105" t="s">
        <v>45</v>
      </c>
      <c r="C9" s="106"/>
      <c r="D9" s="106"/>
      <c r="E9" s="107" t="s">
        <v>43</v>
      </c>
      <c r="F9" s="108"/>
      <c r="G9" s="109"/>
      <c r="H9" s="85" t="s">
        <v>26</v>
      </c>
    </row>
    <row r="10" spans="2:10" s="3" customFormat="1" ht="15.75" thickTop="1" x14ac:dyDescent="0.25">
      <c r="B10" s="19"/>
      <c r="C10" s="20" t="s">
        <v>1</v>
      </c>
      <c r="D10" s="21" t="s">
        <v>2</v>
      </c>
      <c r="E10" s="22"/>
      <c r="F10" s="23" t="s">
        <v>1</v>
      </c>
      <c r="G10" s="24" t="s">
        <v>2</v>
      </c>
      <c r="H10" s="42"/>
    </row>
    <row r="11" spans="2:10" x14ac:dyDescent="0.25">
      <c r="B11" s="6" t="s">
        <v>0</v>
      </c>
      <c r="C11" s="7"/>
      <c r="D11" s="82">
        <v>529.38</v>
      </c>
      <c r="E11" s="25" t="s">
        <v>0</v>
      </c>
      <c r="F11" s="26"/>
      <c r="G11" s="27">
        <f>D11</f>
        <v>529.38</v>
      </c>
      <c r="H11" s="43"/>
    </row>
    <row r="12" spans="2:10" x14ac:dyDescent="0.25">
      <c r="B12" s="8" t="s">
        <v>3</v>
      </c>
      <c r="C12" s="83">
        <v>0.05</v>
      </c>
      <c r="D12" s="15">
        <f>C12*D11</f>
        <v>26.469000000000001</v>
      </c>
      <c r="E12" s="28" t="s">
        <v>3</v>
      </c>
      <c r="F12" s="29">
        <f>C12</f>
        <v>0.05</v>
      </c>
      <c r="G12" s="30">
        <f>F12*G11</f>
        <v>26.469000000000001</v>
      </c>
      <c r="H12" s="44"/>
    </row>
    <row r="13" spans="2:10" x14ac:dyDescent="0.25">
      <c r="B13" s="8"/>
      <c r="C13" s="9"/>
      <c r="D13" s="15"/>
      <c r="E13" s="25" t="s">
        <v>19</v>
      </c>
      <c r="F13" s="41"/>
      <c r="G13" s="33">
        <f>G11+G12</f>
        <v>555.84900000000005</v>
      </c>
      <c r="H13" s="44"/>
    </row>
    <row r="14" spans="2:10" ht="30" x14ac:dyDescent="0.25">
      <c r="B14" s="11" t="s">
        <v>50</v>
      </c>
      <c r="C14" s="9"/>
      <c r="D14" s="17">
        <f>(D11)/0.83</f>
        <v>637.80722891566268</v>
      </c>
      <c r="E14" s="25" t="s">
        <v>17</v>
      </c>
      <c r="F14" s="86">
        <v>0.48430000000000001</v>
      </c>
      <c r="G14" s="81">
        <f>F14*G13</f>
        <v>269.1976707</v>
      </c>
      <c r="H14" s="44"/>
    </row>
    <row r="15" spans="2:10" x14ac:dyDescent="0.25">
      <c r="B15" s="6" t="s">
        <v>49</v>
      </c>
      <c r="C15" s="103">
        <f>17%-C19</f>
        <v>5.0000000000000017E-2</v>
      </c>
      <c r="D15" s="16">
        <f>D14*C15</f>
        <v>31.890361445783146</v>
      </c>
      <c r="E15" s="25" t="s">
        <v>20</v>
      </c>
      <c r="F15" s="41"/>
      <c r="G15" s="80">
        <f>G13+G14</f>
        <v>825.04667070000005</v>
      </c>
      <c r="H15" s="45"/>
    </row>
    <row r="16" spans="2:10" x14ac:dyDescent="0.25">
      <c r="B16" s="11"/>
      <c r="C16" s="12"/>
      <c r="D16" s="17">
        <f>(D11+D12)+D15</f>
        <v>587.73936144578317</v>
      </c>
      <c r="E16" s="31" t="s">
        <v>47</v>
      </c>
      <c r="F16" s="32" t="s">
        <v>25</v>
      </c>
      <c r="G16" s="33">
        <f>G15*17%</f>
        <v>140.25793401900003</v>
      </c>
      <c r="H16" s="46"/>
      <c r="J16" s="4"/>
    </row>
    <row r="17" spans="2:10" x14ac:dyDescent="0.25">
      <c r="B17" s="11" t="s">
        <v>51</v>
      </c>
      <c r="C17" s="12"/>
      <c r="D17" s="17">
        <f>D16-D15</f>
        <v>555.84900000000005</v>
      </c>
      <c r="E17" s="31"/>
      <c r="F17" s="32"/>
      <c r="G17" s="33"/>
      <c r="H17" s="46"/>
      <c r="J17" s="4"/>
    </row>
    <row r="18" spans="2:10" ht="15.75" thickBot="1" x14ac:dyDescent="0.3">
      <c r="B18" s="13" t="s">
        <v>4</v>
      </c>
      <c r="C18" s="7"/>
      <c r="D18" s="16">
        <f>SUM(D11:D12)</f>
        <v>555.84900000000005</v>
      </c>
      <c r="E18" s="96" t="s">
        <v>48</v>
      </c>
      <c r="F18" s="97">
        <f>C19</f>
        <v>0.12</v>
      </c>
      <c r="G18" s="98">
        <f>G11*F18</f>
        <v>63.525599999999997</v>
      </c>
      <c r="H18" s="43"/>
      <c r="J18" s="4"/>
    </row>
    <row r="19" spans="2:10" ht="16.5" thickTop="1" thickBot="1" x14ac:dyDescent="0.3">
      <c r="B19" s="8" t="s">
        <v>16</v>
      </c>
      <c r="C19" s="83">
        <v>0.12</v>
      </c>
      <c r="D19" s="15">
        <f>C19*D11</f>
        <v>63.525599999999997</v>
      </c>
      <c r="E19" s="100" t="s">
        <v>21</v>
      </c>
      <c r="F19" s="101"/>
      <c r="G19" s="102">
        <f>G16-G18</f>
        <v>76.732334019000035</v>
      </c>
      <c r="H19" s="104">
        <f>G19/G15</f>
        <v>9.3003628454009141E-2</v>
      </c>
      <c r="J19" s="4"/>
    </row>
    <row r="20" spans="2:10" ht="15.75" thickTop="1" x14ac:dyDescent="0.25">
      <c r="B20" s="8"/>
      <c r="C20" s="9"/>
      <c r="D20" s="15"/>
      <c r="E20" s="99"/>
      <c r="F20" s="71"/>
      <c r="G20" s="24"/>
      <c r="H20" s="46"/>
      <c r="J20" s="4"/>
    </row>
    <row r="21" spans="2:10" x14ac:dyDescent="0.25">
      <c r="B21" s="113" t="s">
        <v>18</v>
      </c>
      <c r="C21" s="114"/>
      <c r="D21" s="115"/>
      <c r="E21" s="116" t="s">
        <v>18</v>
      </c>
      <c r="F21" s="117"/>
      <c r="G21" s="118"/>
      <c r="H21" s="47"/>
      <c r="J21" s="4"/>
    </row>
    <row r="22" spans="2:10" x14ac:dyDescent="0.25">
      <c r="B22" s="13" t="s">
        <v>5</v>
      </c>
      <c r="C22" s="83">
        <v>1.6500000000000001E-2</v>
      </c>
      <c r="D22" s="18">
        <f>C22*D11</f>
        <v>8.734770000000001</v>
      </c>
      <c r="E22" s="34" t="s">
        <v>5</v>
      </c>
      <c r="F22" s="26">
        <f>C22</f>
        <v>1.6500000000000001E-2</v>
      </c>
      <c r="G22" s="35">
        <f>F22*G11</f>
        <v>8.734770000000001</v>
      </c>
      <c r="H22" s="43"/>
      <c r="J22" s="4"/>
    </row>
    <row r="23" spans="2:10" ht="15.75" thickBot="1" x14ac:dyDescent="0.3">
      <c r="B23" s="62" t="s">
        <v>6</v>
      </c>
      <c r="C23" s="84">
        <v>7.5999999999999998E-2</v>
      </c>
      <c r="D23" s="63">
        <f>C23*D11</f>
        <v>40.232880000000002</v>
      </c>
      <c r="E23" s="64" t="s">
        <v>6</v>
      </c>
      <c r="F23" s="65">
        <f>C23</f>
        <v>7.5999999999999998E-2</v>
      </c>
      <c r="G23" s="66">
        <f>F23*G11</f>
        <v>40.232880000000002</v>
      </c>
      <c r="H23" s="44"/>
      <c r="J23" s="4"/>
    </row>
    <row r="24" spans="2:10" ht="16.5" thickTop="1" thickBot="1" x14ac:dyDescent="0.3">
      <c r="B24" s="73" t="s">
        <v>7</v>
      </c>
      <c r="C24" s="74"/>
      <c r="D24" s="75">
        <f>D18-SUM(D19:D23)</f>
        <v>443.35575000000006</v>
      </c>
      <c r="E24" s="76"/>
      <c r="F24" s="77"/>
      <c r="G24" s="78">
        <f>(G11+G12+G19)-(G22+G23)</f>
        <v>583.61368401900006</v>
      </c>
      <c r="H24" s="79">
        <f>(G24-D24)/D24</f>
        <v>0.31635528358208953</v>
      </c>
      <c r="J24" s="4"/>
    </row>
    <row r="25" spans="2:10" ht="15.75" thickTop="1" x14ac:dyDescent="0.25">
      <c r="B25" s="67"/>
      <c r="C25" s="68"/>
      <c r="D25" s="69"/>
      <c r="E25" s="70"/>
      <c r="F25" s="71"/>
      <c r="G25" s="72"/>
      <c r="H25" s="48"/>
    </row>
    <row r="26" spans="2:10" x14ac:dyDescent="0.25">
      <c r="B26" s="6" t="s">
        <v>8</v>
      </c>
      <c r="C26" s="7"/>
      <c r="D26" s="18"/>
      <c r="E26" s="25" t="s">
        <v>8</v>
      </c>
      <c r="F26" s="26"/>
      <c r="G26" s="37"/>
      <c r="H26" s="43"/>
    </row>
    <row r="27" spans="2:10" x14ac:dyDescent="0.25">
      <c r="B27" s="8" t="s">
        <v>9</v>
      </c>
      <c r="C27" s="83">
        <v>0.17</v>
      </c>
      <c r="D27" s="15">
        <f>C27*$D$37</f>
        <v>128.904527963058</v>
      </c>
      <c r="E27" s="28" t="s">
        <v>9</v>
      </c>
      <c r="F27" s="38">
        <v>0</v>
      </c>
      <c r="G27" s="30">
        <f>F27*$G$37</f>
        <v>0</v>
      </c>
      <c r="H27" s="44"/>
    </row>
    <row r="28" spans="2:10" x14ac:dyDescent="0.25">
      <c r="B28" s="13" t="s">
        <v>22</v>
      </c>
      <c r="C28" s="83">
        <v>1.6500000000000001E-2</v>
      </c>
      <c r="D28" s="18">
        <f>C28*$D$37</f>
        <v>12.511321831708571</v>
      </c>
      <c r="E28" s="34" t="s">
        <v>22</v>
      </c>
      <c r="F28" s="39">
        <f t="shared" ref="F28:F31" si="0">C28</f>
        <v>1.6500000000000001E-2</v>
      </c>
      <c r="G28" s="35">
        <f>F28*$G$37</f>
        <v>12.759541256543661</v>
      </c>
      <c r="H28" s="43"/>
    </row>
    <row r="29" spans="2:10" x14ac:dyDescent="0.25">
      <c r="B29" s="8" t="s">
        <v>23</v>
      </c>
      <c r="C29" s="83">
        <v>7.5999999999999998E-2</v>
      </c>
      <c r="D29" s="15">
        <f>C29*$D$37</f>
        <v>57.627906618778873</v>
      </c>
      <c r="E29" s="28" t="s">
        <v>23</v>
      </c>
      <c r="F29" s="40">
        <f t="shared" si="0"/>
        <v>7.5999999999999998E-2</v>
      </c>
      <c r="G29" s="30">
        <f>F29*$G$37</f>
        <v>58.771220333170803</v>
      </c>
      <c r="H29" s="44"/>
    </row>
    <row r="30" spans="2:10" x14ac:dyDescent="0.25">
      <c r="B30" s="13" t="s">
        <v>10</v>
      </c>
      <c r="C30" s="83">
        <v>1.0800000000000001E-2</v>
      </c>
      <c r="D30" s="18">
        <f>C30*$D$37</f>
        <v>8.1892288353001561</v>
      </c>
      <c r="E30" s="34" t="s">
        <v>10</v>
      </c>
      <c r="F30" s="39">
        <f t="shared" si="0"/>
        <v>1.0800000000000001E-2</v>
      </c>
      <c r="G30" s="35">
        <f>F30*$G$37</f>
        <v>8.3516997315558505</v>
      </c>
      <c r="H30" s="43"/>
    </row>
    <row r="31" spans="2:10" x14ac:dyDescent="0.25">
      <c r="B31" s="8" t="s">
        <v>11</v>
      </c>
      <c r="C31" s="83">
        <v>1.2E-2</v>
      </c>
      <c r="D31" s="15">
        <f>C31*$D$37</f>
        <v>9.0991431503335072</v>
      </c>
      <c r="E31" s="28" t="s">
        <v>11</v>
      </c>
      <c r="F31" s="40">
        <f t="shared" si="0"/>
        <v>1.2E-2</v>
      </c>
      <c r="G31" s="30">
        <f>F31*$G$37</f>
        <v>9.2796663683953895</v>
      </c>
      <c r="H31" s="44"/>
    </row>
    <row r="32" spans="2:10" x14ac:dyDescent="0.25">
      <c r="B32" s="13"/>
      <c r="C32" s="13"/>
      <c r="D32" s="18"/>
      <c r="E32" s="34"/>
      <c r="F32" s="39"/>
      <c r="G32" s="30"/>
      <c r="H32" s="43"/>
    </row>
    <row r="33" spans="2:8" x14ac:dyDescent="0.25">
      <c r="B33" s="8" t="s">
        <v>12</v>
      </c>
      <c r="C33" s="83">
        <v>0.1</v>
      </c>
      <c r="D33" s="15">
        <f>C33*$D$37</f>
        <v>75.826192919445887</v>
      </c>
      <c r="E33" s="28" t="s">
        <v>12</v>
      </c>
      <c r="F33" s="40">
        <f>C33</f>
        <v>0.1</v>
      </c>
      <c r="G33" s="30">
        <f>F33*$G$37</f>
        <v>77.330553069961582</v>
      </c>
      <c r="H33" s="44"/>
    </row>
    <row r="34" spans="2:8" x14ac:dyDescent="0.25">
      <c r="B34" s="13" t="s">
        <v>13</v>
      </c>
      <c r="C34" s="83">
        <v>0.03</v>
      </c>
      <c r="D34" s="18">
        <f>C34*$D$37</f>
        <v>22.747857875833766</v>
      </c>
      <c r="E34" s="34" t="s">
        <v>13</v>
      </c>
      <c r="F34" s="39">
        <f>C34</f>
        <v>0.03</v>
      </c>
      <c r="G34" s="35">
        <f>F34*$G$37</f>
        <v>23.199165920988474</v>
      </c>
      <c r="H34" s="43"/>
    </row>
    <row r="35" spans="2:8" x14ac:dyDescent="0.25">
      <c r="B35" s="8"/>
      <c r="C35" s="14"/>
      <c r="D35" s="15"/>
      <c r="E35" s="28"/>
      <c r="F35" s="29"/>
      <c r="G35" s="36"/>
      <c r="H35" s="44"/>
    </row>
    <row r="36" spans="2:8" ht="15.75" thickBot="1" x14ac:dyDescent="0.3">
      <c r="B36" s="49" t="s">
        <v>15</v>
      </c>
      <c r="C36" s="50">
        <f>1-SUM(C27:C34)</f>
        <v>0.5847</v>
      </c>
      <c r="D36" s="51"/>
      <c r="E36" s="52" t="s">
        <v>15</v>
      </c>
      <c r="F36" s="53">
        <f>1-SUM(F27:F34)</f>
        <v>0.75470000000000004</v>
      </c>
      <c r="G36" s="54"/>
      <c r="H36" s="43"/>
    </row>
    <row r="37" spans="2:8" ht="16.5" thickTop="1" thickBot="1" x14ac:dyDescent="0.3">
      <c r="B37" s="55" t="s">
        <v>14</v>
      </c>
      <c r="C37" s="56"/>
      <c r="D37" s="57">
        <f>D24/C36</f>
        <v>758.26192919445884</v>
      </c>
      <c r="E37" s="58"/>
      <c r="F37" s="59"/>
      <c r="G37" s="60">
        <f>G24/F36</f>
        <v>773.30553069961582</v>
      </c>
      <c r="H37" s="61">
        <f>(G37-D37)/D37</f>
        <v>1.9839584351991103E-2</v>
      </c>
    </row>
    <row r="38" spans="2:8" ht="15.75" thickTop="1" x14ac:dyDescent="0.25"/>
    <row r="39" spans="2:8" x14ac:dyDescent="0.25">
      <c r="B39" t="s">
        <v>27</v>
      </c>
    </row>
    <row r="40" spans="2:8" x14ac:dyDescent="0.25">
      <c r="B40" t="s">
        <v>28</v>
      </c>
    </row>
    <row r="41" spans="2:8" x14ac:dyDescent="0.25">
      <c r="B41" t="s">
        <v>29</v>
      </c>
    </row>
    <row r="42" spans="2:8" x14ac:dyDescent="0.25">
      <c r="B42" t="s">
        <v>30</v>
      </c>
    </row>
  </sheetData>
  <sheetProtection algorithmName="SHA-512" hashValue="9i6szClGIF8r8aCRsEvrmIWNEyuFn3ZCLXSjqPAbglUcRCwd+iOAbLNIhjVtlbqWEi3PIrIOs+/ufDNznmGLwA==" saltValue="Q7Ld9VfrDxw5uhwt05nuzQ==" spinCount="100000" sheet="1" objects="1" scenarios="1" formatCells="0" formatColumns="0"/>
  <mergeCells count="5">
    <mergeCell ref="B9:D9"/>
    <mergeCell ref="E9:G9"/>
    <mergeCell ref="B7:H8"/>
    <mergeCell ref="B21:D21"/>
    <mergeCell ref="E21:G2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2479-54F8-4902-A991-53331C1530C4}">
  <dimension ref="B7:K40"/>
  <sheetViews>
    <sheetView showGridLines="0" zoomScale="130" zoomScaleNormal="130" workbookViewId="0">
      <pane ySplit="8" topLeftCell="A27" activePane="bottomLeft" state="frozen"/>
      <selection pane="bottomLeft" activeCell="H30" sqref="H30"/>
    </sheetView>
  </sheetViews>
  <sheetFormatPr defaultRowHeight="15" x14ac:dyDescent="0.25"/>
  <cols>
    <col min="2" max="2" width="23.85546875" customWidth="1"/>
    <col min="3" max="3" width="9.140625" style="2"/>
    <col min="4" max="4" width="14" style="1" customWidth="1"/>
    <col min="5" max="5" width="22.42578125" style="1" customWidth="1"/>
    <col min="6" max="6" width="12.7109375" style="2" customWidth="1"/>
    <col min="7" max="7" width="10.7109375" bestFit="1" customWidth="1"/>
    <col min="8" max="8" width="16.42578125" style="5" customWidth="1"/>
    <col min="10" max="10" width="11" bestFit="1" customWidth="1"/>
  </cols>
  <sheetData>
    <row r="7" spans="2:10" x14ac:dyDescent="0.25">
      <c r="B7" s="110" t="s">
        <v>44</v>
      </c>
      <c r="C7" s="111"/>
      <c r="D7" s="111"/>
      <c r="E7" s="111"/>
      <c r="F7" s="111"/>
      <c r="G7" s="111"/>
      <c r="H7" s="111"/>
    </row>
    <row r="8" spans="2:10" ht="15.75" thickBot="1" x14ac:dyDescent="0.3">
      <c r="B8" s="112"/>
      <c r="C8" s="112"/>
      <c r="D8" s="112"/>
      <c r="E8" s="112"/>
      <c r="F8" s="112"/>
      <c r="G8" s="112"/>
      <c r="H8" s="112"/>
    </row>
    <row r="9" spans="2:10" ht="68.25" customHeight="1" thickTop="1" thickBot="1" x14ac:dyDescent="0.3">
      <c r="B9" s="105" t="s">
        <v>45</v>
      </c>
      <c r="C9" s="106"/>
      <c r="D9" s="106"/>
      <c r="E9" s="107" t="s">
        <v>43</v>
      </c>
      <c r="F9" s="108"/>
      <c r="G9" s="109"/>
      <c r="H9" s="85" t="s">
        <v>26</v>
      </c>
    </row>
    <row r="10" spans="2:10" s="3" customFormat="1" ht="15.75" thickTop="1" x14ac:dyDescent="0.25">
      <c r="B10" s="19"/>
      <c r="C10" s="20" t="s">
        <v>1</v>
      </c>
      <c r="D10" s="21" t="s">
        <v>2</v>
      </c>
      <c r="E10" s="22"/>
      <c r="F10" s="23" t="s">
        <v>1</v>
      </c>
      <c r="G10" s="24" t="s">
        <v>2</v>
      </c>
      <c r="H10" s="42"/>
    </row>
    <row r="11" spans="2:10" x14ac:dyDescent="0.25">
      <c r="B11" s="6" t="s">
        <v>0</v>
      </c>
      <c r="C11" s="7"/>
      <c r="D11" s="82">
        <v>458.49</v>
      </c>
      <c r="E11" s="25" t="s">
        <v>0</v>
      </c>
      <c r="F11" s="26"/>
      <c r="G11" s="27">
        <f>D11</f>
        <v>458.49</v>
      </c>
      <c r="H11" s="43"/>
    </row>
    <row r="12" spans="2:10" x14ac:dyDescent="0.25">
      <c r="B12" s="8" t="s">
        <v>3</v>
      </c>
      <c r="C12" s="83">
        <v>0.05</v>
      </c>
      <c r="D12" s="15">
        <f>C12*D11</f>
        <v>22.924500000000002</v>
      </c>
      <c r="E12" s="28" t="s">
        <v>3</v>
      </c>
      <c r="F12" s="29">
        <f>C12</f>
        <v>0.05</v>
      </c>
      <c r="G12" s="30">
        <f>F12*G11</f>
        <v>22.924500000000002</v>
      </c>
      <c r="H12" s="44"/>
    </row>
    <row r="13" spans="2:10" x14ac:dyDescent="0.25">
      <c r="B13" s="8"/>
      <c r="C13" s="9"/>
      <c r="D13" s="15"/>
      <c r="E13" s="25" t="s">
        <v>19</v>
      </c>
      <c r="F13" s="41"/>
      <c r="G13" s="33">
        <f>G11+G12</f>
        <v>481.41450000000003</v>
      </c>
      <c r="H13" s="44"/>
    </row>
    <row r="14" spans="2:10" ht="30" x14ac:dyDescent="0.25">
      <c r="B14" s="8"/>
      <c r="C14" s="9"/>
      <c r="D14" s="15"/>
      <c r="E14" s="25" t="s">
        <v>17</v>
      </c>
      <c r="F14" s="86">
        <v>0.53510000000000002</v>
      </c>
      <c r="G14" s="81">
        <f>F14*G13</f>
        <v>257.60489895000001</v>
      </c>
      <c r="H14" s="44"/>
    </row>
    <row r="15" spans="2:10" x14ac:dyDescent="0.25">
      <c r="B15" s="6"/>
      <c r="C15" s="10"/>
      <c r="D15" s="16"/>
      <c r="E15" s="25" t="s">
        <v>20</v>
      </c>
      <c r="F15" s="41"/>
      <c r="G15" s="80">
        <f>G13+G14</f>
        <v>739.0193989500001</v>
      </c>
      <c r="H15" s="45"/>
    </row>
    <row r="16" spans="2:10" x14ac:dyDescent="0.25">
      <c r="B16" s="11"/>
      <c r="C16" s="12"/>
      <c r="D16" s="17"/>
      <c r="E16" s="31" t="s">
        <v>47</v>
      </c>
      <c r="F16" s="32" t="s">
        <v>25</v>
      </c>
      <c r="G16" s="33">
        <f>G15*17%</f>
        <v>125.63329782150002</v>
      </c>
      <c r="H16" s="46"/>
      <c r="J16" s="4"/>
    </row>
    <row r="17" spans="2:10" x14ac:dyDescent="0.25">
      <c r="B17" s="11"/>
      <c r="C17" s="12"/>
      <c r="D17" s="17"/>
      <c r="E17" s="31"/>
      <c r="F17" s="32"/>
      <c r="G17" s="33"/>
      <c r="H17" s="46"/>
      <c r="J17" s="4"/>
    </row>
    <row r="18" spans="2:10" x14ac:dyDescent="0.25">
      <c r="B18" s="13" t="s">
        <v>4</v>
      </c>
      <c r="C18" s="7"/>
      <c r="D18" s="18">
        <f>SUM(D11:D12)</f>
        <v>481.41450000000003</v>
      </c>
      <c r="E18" s="31" t="s">
        <v>16</v>
      </c>
      <c r="F18" s="94">
        <v>7.0000000000000007E-2</v>
      </c>
      <c r="G18" s="95">
        <f>G11*F18</f>
        <v>32.094300000000004</v>
      </c>
      <c r="H18" s="43"/>
      <c r="J18" s="4"/>
    </row>
    <row r="19" spans="2:10" x14ac:dyDescent="0.25">
      <c r="B19" s="8" t="s">
        <v>16</v>
      </c>
      <c r="C19" s="83">
        <v>0</v>
      </c>
      <c r="D19" s="15">
        <f>C19*D11</f>
        <v>0</v>
      </c>
      <c r="E19" s="31" t="s">
        <v>46</v>
      </c>
      <c r="F19" s="94"/>
      <c r="G19" s="95">
        <f>G16-G18</f>
        <v>93.538997821500018</v>
      </c>
      <c r="H19" s="44"/>
      <c r="J19" s="4"/>
    </row>
    <row r="20" spans="2:10" ht="15.75" thickBot="1" x14ac:dyDescent="0.3">
      <c r="B20" s="8"/>
      <c r="C20" s="9"/>
      <c r="D20" s="15"/>
      <c r="E20" s="28"/>
      <c r="F20" s="29"/>
      <c r="G20" s="33"/>
      <c r="H20" s="46"/>
      <c r="J20" s="4"/>
    </row>
    <row r="21" spans="2:10" ht="16.5" thickTop="1" thickBot="1" x14ac:dyDescent="0.3">
      <c r="B21" s="73" t="s">
        <v>7</v>
      </c>
      <c r="C21" s="74"/>
      <c r="D21" s="75">
        <f>D18-D19</f>
        <v>481.41450000000003</v>
      </c>
      <c r="E21" s="76"/>
      <c r="F21" s="77"/>
      <c r="G21" s="78">
        <f>G11+G12+G19</f>
        <v>574.95349782150004</v>
      </c>
      <c r="H21" s="79">
        <f>(G21-D21)/D21</f>
        <v>0.19430033333333332</v>
      </c>
      <c r="J21" s="4"/>
    </row>
    <row r="22" spans="2:10" ht="15.75" thickTop="1" x14ac:dyDescent="0.25">
      <c r="B22" s="67"/>
      <c r="C22" s="68"/>
      <c r="D22" s="69"/>
      <c r="E22" s="70"/>
      <c r="F22" s="71"/>
      <c r="G22" s="72"/>
      <c r="H22" s="48"/>
    </row>
    <row r="23" spans="2:10" x14ac:dyDescent="0.25">
      <c r="B23" s="6" t="s">
        <v>8</v>
      </c>
      <c r="C23" s="7"/>
      <c r="D23" s="18"/>
      <c r="E23" s="25" t="s">
        <v>8</v>
      </c>
      <c r="F23" s="26"/>
      <c r="G23" s="37"/>
      <c r="H23" s="43"/>
    </row>
    <row r="24" spans="2:10" x14ac:dyDescent="0.25">
      <c r="B24" s="8" t="s">
        <v>24</v>
      </c>
      <c r="C24" s="83">
        <v>7.3999999999999996E-2</v>
      </c>
      <c r="D24" s="15">
        <f>C24*$D$30</f>
        <v>44.754614321608038</v>
      </c>
      <c r="E24" s="28" t="s">
        <v>24</v>
      </c>
      <c r="F24" s="39">
        <f>IF(C24=E35,C24-(C24*F35),IF(C24&lt;=E36,C24-(C24*F36),IF(C24&lt;=E37,C24-(C24*F37),IF(C24&lt;=E38,C24-(C24*F38),IF(C24&lt;=E39,C24-(C24*F39),IF(24&lt;=E40,J40))))))</f>
        <v>4.9209999999999997E-2</v>
      </c>
      <c r="G24" s="30">
        <f>F24*$G$30</f>
        <v>34.471011620263418</v>
      </c>
      <c r="H24" s="44"/>
    </row>
    <row r="25" spans="2:10" x14ac:dyDescent="0.25">
      <c r="B25" s="13"/>
      <c r="C25" s="13"/>
      <c r="D25" s="18"/>
      <c r="E25" s="34"/>
      <c r="F25" s="39"/>
      <c r="G25" s="30"/>
      <c r="H25" s="43"/>
    </row>
    <row r="26" spans="2:10" x14ac:dyDescent="0.25">
      <c r="B26" s="8" t="s">
        <v>12</v>
      </c>
      <c r="C26" s="83">
        <v>0.1</v>
      </c>
      <c r="D26" s="15">
        <f>C26*$D$30</f>
        <v>60.479208542713572</v>
      </c>
      <c r="E26" s="28" t="s">
        <v>12</v>
      </c>
      <c r="F26" s="40">
        <f>C26</f>
        <v>0.1</v>
      </c>
      <c r="G26" s="30">
        <f>F26*$G$30</f>
        <v>70.048794188708442</v>
      </c>
      <c r="H26" s="44"/>
    </row>
    <row r="27" spans="2:10" x14ac:dyDescent="0.25">
      <c r="B27" s="13" t="s">
        <v>13</v>
      </c>
      <c r="C27" s="83">
        <v>0.03</v>
      </c>
      <c r="D27" s="18">
        <f>C27*$D$30</f>
        <v>18.143762562814072</v>
      </c>
      <c r="E27" s="34" t="s">
        <v>13</v>
      </c>
      <c r="F27" s="39">
        <f>C27</f>
        <v>0.03</v>
      </c>
      <c r="G27" s="35">
        <f>F27*$G$30</f>
        <v>21.014638256612532</v>
      </c>
      <c r="H27" s="43"/>
    </row>
    <row r="28" spans="2:10" x14ac:dyDescent="0.25">
      <c r="B28" s="8"/>
      <c r="C28" s="14"/>
      <c r="D28" s="15"/>
      <c r="E28" s="28"/>
      <c r="F28" s="29"/>
      <c r="G28" s="36"/>
      <c r="H28" s="44"/>
    </row>
    <row r="29" spans="2:10" ht="15.75" thickBot="1" x14ac:dyDescent="0.3">
      <c r="B29" s="49" t="s">
        <v>15</v>
      </c>
      <c r="C29" s="50">
        <f>1-SUM(C24:C27)</f>
        <v>0.79600000000000004</v>
      </c>
      <c r="D29" s="51"/>
      <c r="E29" s="52" t="s">
        <v>15</v>
      </c>
      <c r="F29" s="53">
        <f>1-SUM(F24:F27)</f>
        <v>0.82079000000000002</v>
      </c>
      <c r="G29" s="54"/>
      <c r="H29" s="43"/>
    </row>
    <row r="30" spans="2:10" ht="16.5" thickTop="1" thickBot="1" x14ac:dyDescent="0.3">
      <c r="B30" s="55" t="s">
        <v>14</v>
      </c>
      <c r="C30" s="56"/>
      <c r="D30" s="57">
        <f>D21/C29</f>
        <v>604.7920854271357</v>
      </c>
      <c r="E30" s="58"/>
      <c r="F30" s="59"/>
      <c r="G30" s="60">
        <f>G21/F29</f>
        <v>700.48794188708439</v>
      </c>
      <c r="H30" s="61">
        <f>(G30-D30)/D30</f>
        <v>0.15822934652387735</v>
      </c>
    </row>
    <row r="31" spans="2:10" ht="15.75" thickTop="1" x14ac:dyDescent="0.25"/>
    <row r="33" spans="2:11" x14ac:dyDescent="0.25">
      <c r="B33" s="121" t="s">
        <v>40</v>
      </c>
      <c r="C33" s="121"/>
      <c r="D33" s="121"/>
      <c r="E33" s="121"/>
      <c r="G33" s="121" t="s">
        <v>41</v>
      </c>
      <c r="H33" s="121"/>
      <c r="I33" s="121"/>
      <c r="J33" s="121"/>
    </row>
    <row r="34" spans="2:11" ht="48" thickBot="1" x14ac:dyDescent="0.3">
      <c r="B34" s="87" t="s">
        <v>31</v>
      </c>
      <c r="C34" s="119" t="s">
        <v>32</v>
      </c>
      <c r="D34" s="119"/>
      <c r="E34" s="87" t="s">
        <v>33</v>
      </c>
      <c r="F34" s="93" t="s">
        <v>42</v>
      </c>
      <c r="G34" s="87" t="s">
        <v>31</v>
      </c>
      <c r="H34" s="119" t="s">
        <v>32</v>
      </c>
      <c r="I34" s="119"/>
      <c r="J34" s="87" t="s">
        <v>33</v>
      </c>
    </row>
    <row r="35" spans="2:11" ht="15.75" thickBot="1" x14ac:dyDescent="0.3">
      <c r="B35" s="88" t="s">
        <v>34</v>
      </c>
      <c r="C35" s="120">
        <v>180000</v>
      </c>
      <c r="D35" s="120"/>
      <c r="E35" s="89">
        <v>0.04</v>
      </c>
      <c r="F35" s="91">
        <v>0.34</v>
      </c>
      <c r="G35" s="88" t="s">
        <v>34</v>
      </c>
      <c r="H35" s="120">
        <v>180000</v>
      </c>
      <c r="I35" s="120"/>
      <c r="J35" s="89">
        <f>E35-(E35*F35)</f>
        <v>2.64E-2</v>
      </c>
      <c r="K35" s="90"/>
    </row>
    <row r="36" spans="2:11" ht="15.75" thickBot="1" x14ac:dyDescent="0.3">
      <c r="B36" s="88" t="s">
        <v>35</v>
      </c>
      <c r="C36" s="120">
        <v>360000</v>
      </c>
      <c r="D36" s="120"/>
      <c r="E36" s="89">
        <v>7.2999999999999995E-2</v>
      </c>
      <c r="F36" s="92">
        <v>0.34</v>
      </c>
      <c r="G36" s="88" t="s">
        <v>35</v>
      </c>
      <c r="H36" s="120">
        <v>360000</v>
      </c>
      <c r="I36" s="120"/>
      <c r="J36" s="89">
        <f t="shared" ref="J36:J40" si="0">E36-(E36*F36)</f>
        <v>4.8179999999999994E-2</v>
      </c>
      <c r="K36" s="90"/>
    </row>
    <row r="37" spans="2:11" ht="15.75" thickBot="1" x14ac:dyDescent="0.3">
      <c r="B37" s="88" t="s">
        <v>36</v>
      </c>
      <c r="C37" s="120">
        <v>720000</v>
      </c>
      <c r="D37" s="120"/>
      <c r="E37" s="89">
        <v>9.5000000000000001E-2</v>
      </c>
      <c r="F37" s="92">
        <v>0.33500000000000002</v>
      </c>
      <c r="G37" s="88" t="s">
        <v>36</v>
      </c>
      <c r="H37" s="120">
        <v>720000</v>
      </c>
      <c r="I37" s="120"/>
      <c r="J37" s="89">
        <f t="shared" si="0"/>
        <v>6.3175000000000009E-2</v>
      </c>
      <c r="K37" s="90"/>
    </row>
    <row r="38" spans="2:11" ht="15.75" thickBot="1" x14ac:dyDescent="0.3">
      <c r="B38" s="88" t="s">
        <v>37</v>
      </c>
      <c r="C38" s="120">
        <v>1800000</v>
      </c>
      <c r="D38" s="120"/>
      <c r="E38" s="89">
        <v>0.107</v>
      </c>
      <c r="F38" s="92">
        <v>0.33500000000000002</v>
      </c>
      <c r="G38" s="88" t="s">
        <v>37</v>
      </c>
      <c r="H38" s="120">
        <v>1800000</v>
      </c>
      <c r="I38" s="120"/>
      <c r="J38" s="89">
        <f t="shared" si="0"/>
        <v>7.1154999999999996E-2</v>
      </c>
      <c r="K38" s="90"/>
    </row>
    <row r="39" spans="2:11" ht="15.75" thickBot="1" x14ac:dyDescent="0.3">
      <c r="B39" s="88" t="s">
        <v>38</v>
      </c>
      <c r="C39" s="120">
        <v>3600000</v>
      </c>
      <c r="D39" s="120"/>
      <c r="E39" s="89">
        <v>0.14299999999999999</v>
      </c>
      <c r="F39" s="92">
        <v>0.33500000000000002</v>
      </c>
      <c r="G39" s="88" t="s">
        <v>38</v>
      </c>
      <c r="H39" s="120">
        <v>3600000</v>
      </c>
      <c r="I39" s="120"/>
      <c r="J39" s="89">
        <f t="shared" si="0"/>
        <v>9.5094999999999985E-2</v>
      </c>
      <c r="K39" s="90"/>
    </row>
    <row r="40" spans="2:11" ht="15.75" thickBot="1" x14ac:dyDescent="0.3">
      <c r="B40" s="88" t="s">
        <v>39</v>
      </c>
      <c r="C40" s="120">
        <v>4800000</v>
      </c>
      <c r="D40" s="120"/>
      <c r="E40" s="89">
        <v>0.19</v>
      </c>
      <c r="G40" s="88" t="s">
        <v>39</v>
      </c>
      <c r="H40" s="120">
        <v>4800000</v>
      </c>
      <c r="I40" s="120"/>
      <c r="J40" s="89">
        <f t="shared" si="0"/>
        <v>0.19</v>
      </c>
    </row>
  </sheetData>
  <mergeCells count="19">
    <mergeCell ref="H36:I36"/>
    <mergeCell ref="H37:I37"/>
    <mergeCell ref="H38:I38"/>
    <mergeCell ref="H39:I39"/>
    <mergeCell ref="H40:I40"/>
    <mergeCell ref="C36:D36"/>
    <mergeCell ref="C37:D37"/>
    <mergeCell ref="C38:D38"/>
    <mergeCell ref="C39:D39"/>
    <mergeCell ref="C40:D40"/>
    <mergeCell ref="B7:H8"/>
    <mergeCell ref="B9:D9"/>
    <mergeCell ref="E9:G9"/>
    <mergeCell ref="C34:D34"/>
    <mergeCell ref="C35:D35"/>
    <mergeCell ref="B33:E33"/>
    <mergeCell ref="H34:I34"/>
    <mergeCell ref="H35:I35"/>
    <mergeCell ref="G33:J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LUCRO REAL E PRESUMIDO</vt:lpstr>
      <vt:lpstr>LUCRO SIMPLES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Delano</cp:lastModifiedBy>
  <dcterms:created xsi:type="dcterms:W3CDTF">2022-06-09T17:12:31Z</dcterms:created>
  <dcterms:modified xsi:type="dcterms:W3CDTF">2022-06-10T14:21:16Z</dcterms:modified>
</cp:coreProperties>
</file>